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<sst xmlns="http://schemas.openxmlformats.org/spreadsheetml/2006/main" count="239" uniqueCount="137">
  <si>
    <t>A</t>
  </si>
  <si>
    <t>P</t>
  </si>
  <si>
    <t>S</t>
  </si>
  <si>
    <t>T</t>
  </si>
  <si>
    <t>L</t>
  </si>
  <si>
    <t>F</t>
  </si>
  <si>
    <t>R</t>
  </si>
  <si>
    <t>N</t>
  </si>
  <si>
    <t>X</t>
  </si>
  <si>
    <t>E</t>
  </si>
  <si>
    <t>H</t>
  </si>
  <si>
    <t>B</t>
  </si>
  <si>
    <t>U</t>
  </si>
  <si>
    <t>D</t>
  </si>
  <si>
    <t>C</t>
  </si>
  <si>
    <t>Z</t>
  </si>
  <si>
    <t>Q</t>
  </si>
  <si>
    <t>M</t>
  </si>
  <si>
    <t>V</t>
  </si>
  <si>
    <t>I</t>
  </si>
  <si>
    <t>PCI Device+Vendor ID of chipset</t>
  </si>
  <si>
    <t>port SEC</t>
  </si>
  <si>
    <t>port PRI</t>
  </si>
  <si>
    <t>8=SLOT, 0=PORT</t>
  </si>
  <si>
    <t>Bit 1=loaded for primary</t>
  </si>
  <si>
    <t>Bit 2=loaded for secondary</t>
  </si>
  <si>
    <t>Product ID</t>
  </si>
  <si>
    <t>Command (data) port addresses</t>
  </si>
  <si>
    <t>Driver load status bitmap.</t>
  </si>
  <si>
    <t>Under config?</t>
  </si>
  <si>
    <t>Raid chipset?</t>
  </si>
  <si>
    <t>Native PCI mode?</t>
  </si>
  <si>
    <t>Exempt from reg. HIN?</t>
  </si>
  <si>
    <t>HIN (hardware instance number) by NBI</t>
  </si>
  <si>
    <t>Chipset Bus tag (by NBI)</t>
  </si>
  <si>
    <t>Control port SEC</t>
  </si>
  <si>
    <t>Control port PRI</t>
  </si>
  <si>
    <t>Programming Intervface</t>
  </si>
  <si>
    <t>Greatest DMA</t>
  </si>
  <si>
    <t>PCI Base Class Code</t>
  </si>
  <si>
    <t>PCI Sub Class Code</t>
  </si>
  <si>
    <t>0=PIO</t>
  </si>
  <si>
    <t>1=Single-word DMA</t>
  </si>
  <si>
    <t>2=Multi-word DMA</t>
  </si>
  <si>
    <t>4=Ultra DMA</t>
  </si>
  <si>
    <t>Transfer mode or speed</t>
  </si>
  <si>
    <t>DMA level per device</t>
  </si>
  <si>
    <t>ScSla</t>
  </si>
  <si>
    <t>ScMas</t>
  </si>
  <si>
    <t>PrSla</t>
  </si>
  <si>
    <t>PrMas</t>
  </si>
  <si>
    <t>secondary channel/bus IRQ</t>
  </si>
  <si>
    <t>primary channel/bus IRQ</t>
  </si>
  <si>
    <t>IRQ level</t>
  </si>
  <si>
    <t>Prim.</t>
  </si>
  <si>
    <t>Sec.</t>
  </si>
  <si>
    <t>DMA devices</t>
  </si>
  <si>
    <t>1=DMA OK</t>
  </si>
  <si>
    <t>SM</t>
  </si>
  <si>
    <t>PS</t>
  </si>
  <si>
    <t>PM</t>
  </si>
  <si>
    <t>Detected devices</t>
  </si>
  <si>
    <t>&lt;-</t>
  </si>
  <si>
    <t>DMA for ATAPI?</t>
  </si>
  <si>
    <t>Bus Master Interface Bus Address</t>
  </si>
  <si>
    <t>BUS ID</t>
  </si>
  <si>
    <t>Pri ch.</t>
  </si>
  <si>
    <t>Sec ch.</t>
  </si>
  <si>
    <t>PCI function</t>
  </si>
  <si>
    <t>PCI Device</t>
  </si>
  <si>
    <t>PCI BUS</t>
  </si>
  <si>
    <t>PCI Rev.</t>
  </si>
  <si>
    <t>PCI Subsystem ID</t>
  </si>
  <si>
    <t>PCI Subsystem Vendor ID</t>
  </si>
  <si>
    <t>Device / Chipset info</t>
  </si>
  <si>
    <t>PCI Device ID:</t>
  </si>
  <si>
    <t>PCI Vendor ID:</t>
  </si>
  <si>
    <t>Controller info:</t>
  </si>
  <si>
    <t>Primary</t>
  </si>
  <si>
    <t>Secondary</t>
  </si>
  <si>
    <t xml:space="preserve">Command (data) port address: </t>
  </si>
  <si>
    <t xml:space="preserve">Driver loaded with: </t>
  </si>
  <si>
    <t>parameter, for</t>
  </si>
  <si>
    <t>channel(s).</t>
  </si>
  <si>
    <t>NBI info:</t>
  </si>
  <si>
    <t xml:space="preserve">HIN (hardware instance number): </t>
  </si>
  <si>
    <t xml:space="preserve">Exempt from reg. HIN: </t>
  </si>
  <si>
    <t xml:space="preserve">NBI Chipset Bus Tag: </t>
  </si>
  <si>
    <t xml:space="preserve">Control port address: </t>
  </si>
  <si>
    <t xml:space="preserve">PCI Sub Class Code: </t>
  </si>
  <si>
    <t xml:space="preserve">PCI Programming Interface: </t>
  </si>
  <si>
    <t xml:space="preserve">PCI Base Class Code: </t>
  </si>
  <si>
    <t xml:space="preserve">Greatest DMA level supported: </t>
  </si>
  <si>
    <t>=</t>
  </si>
  <si>
    <t>Devices:</t>
  </si>
  <si>
    <t xml:space="preserve">Primary master: </t>
  </si>
  <si>
    <t xml:space="preserve">Primary slave: </t>
  </si>
  <si>
    <t xml:space="preserve">Secondary master: </t>
  </si>
  <si>
    <t xml:space="preserve">Secondary slave: </t>
  </si>
  <si>
    <t>DMA level</t>
  </si>
  <si>
    <t>Device?</t>
  </si>
  <si>
    <t>DMA?</t>
  </si>
  <si>
    <t xml:space="preserve">Unique chipset ID, by NBI </t>
  </si>
  <si>
    <t xml:space="preserve">Unique chipset ID: </t>
  </si>
  <si>
    <t xml:space="preserve">IRQ level: </t>
  </si>
  <si>
    <t xml:space="preserve">IRQ handle: </t>
  </si>
  <si>
    <t xml:space="preserve">DMA permitted: </t>
  </si>
  <si>
    <t xml:space="preserve">DMA support for ATAPI devices: </t>
  </si>
  <si>
    <t xml:space="preserve">Bus Master Interface Bus Address: </t>
  </si>
  <si>
    <t xml:space="preserve">Internal Bus ID: </t>
  </si>
  <si>
    <t xml:space="preserve">PCI Revision: </t>
  </si>
  <si>
    <t xml:space="preserve">PCI BUS: </t>
  </si>
  <si>
    <t xml:space="preserve">PCI Device: </t>
  </si>
  <si>
    <t xml:space="preserve">PCI function: </t>
  </si>
  <si>
    <t xml:space="preserve">PCI Subsystem ID: </t>
  </si>
  <si>
    <t xml:space="preserve">PCI Subsystem Vendor ID: </t>
  </si>
  <si>
    <t>XXDPBABA B1B0XXXX PFPDPBPR SISISVSV</t>
  </si>
  <si>
    <t>UUUUUUUU Q1Q1Q1Q1 Q0Q0Q0Q0 R1R0DMDV</t>
  </si>
  <si>
    <t>BBBBBBBB CCCCZZZZ BCSCPICD D3D2D1D0</t>
  </si>
  <si>
    <t>PPPPPPPP SSSSTTTT LLFFRRNN XXEEHHHH</t>
  </si>
  <si>
    <t>helper1:</t>
  </si>
  <si>
    <t>…</t>
  </si>
  <si>
    <t>24CB8086 017001F0 83000000 00012716</t>
  </si>
  <si>
    <t>00ECF020 037603F6 01018A45 00450045</t>
  </si>
  <si>
    <t>000000F9 0000000E 0001000F 0F0E5150</t>
  </si>
  <si>
    <t>001F0000 02010000 011F0002 80891043</t>
  </si>
  <si>
    <t>hermina</t>
  </si>
  <si>
    <t>Hardware configuration for 1 IDE chipset:</t>
  </si>
  <si>
    <t>FFFFFFFF 000001F0 01000000 00010000  03F6 = 50  00 00 A0 A8 22 E1 50</t>
  </si>
  <si>
    <t>00000000 000003F6 00000000 00000000  0000 = FF  FF FF FF FD FF 7F FF</t>
  </si>
  <si>
    <t>00000000 0000000E 00000000 000E0030  0002 = FF</t>
  </si>
  <si>
    <t>00010000 00010000 00000000 00000000  000A = FF</t>
  </si>
  <si>
    <t>Copy 4 lines here (without the leading 00 in the first row)</t>
  </si>
  <si>
    <t>SS</t>
  </si>
  <si>
    <t>helpers:</t>
  </si>
  <si>
    <t>DMA</t>
  </si>
  <si>
    <t>Devices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</si>
</sst>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 topLeftCell="A1">
      <selection activeCell="Q51" sqref="Q51"/>
    </sheetView>
  </sheetViews>
  <sheetFormatPr defaultColWidth="9.00390625" defaultRowHeight="12.75" outlineLevelRow="1"/>
  <cols>
    <col min="1" max="1" width="2.875" style="1" customWidth="1"/>
    <col min="2" max="2" width="28.75390625" style="1" customWidth="1"/>
    <col min="3" max="37" width="2.75390625" style="1" customWidth="1"/>
    <col min="38" max="16384" width="9.125" style="1" customWidth="1"/>
  </cols>
  <sheetData>
    <row r="1" spans="2:29" ht="12.75">
      <c r="B1" s="1" t="s">
        <v>132</v>
      </c>
      <c r="O1" s="1" t="s">
        <v>126</v>
      </c>
      <c r="AC1" s="1" t="s">
        <v>127</v>
      </c>
    </row>
    <row r="2" spans="1:29" ht="12.75">
      <c r="A2" s="1">
        <v>1</v>
      </c>
      <c r="B2" s="7" t="s">
        <v>128</v>
      </c>
      <c r="O2" s="1" t="s">
        <v>122</v>
      </c>
      <c r="AC2" s="1" t="s">
        <v>128</v>
      </c>
    </row>
    <row r="3" spans="1:29" ht="12.75">
      <c r="A3" s="1">
        <v>2</v>
      </c>
      <c r="B3" s="7" t="s">
        <v>129</v>
      </c>
      <c r="O3" s="1" t="s">
        <v>123</v>
      </c>
      <c r="AC3" s="1" t="s">
        <v>129</v>
      </c>
    </row>
    <row r="4" spans="1:29" ht="12.75">
      <c r="A4" s="1">
        <v>3</v>
      </c>
      <c r="B4" s="7" t="s">
        <v>130</v>
      </c>
      <c r="O4" s="1" t="s">
        <v>124</v>
      </c>
      <c r="AC4" s="1" t="s">
        <v>130</v>
      </c>
    </row>
    <row r="5" spans="1:29" ht="12.75">
      <c r="A5" s="1">
        <v>4</v>
      </c>
      <c r="B5" s="7" t="s">
        <v>131</v>
      </c>
      <c r="O5" s="1" t="s">
        <v>125</v>
      </c>
      <c r="AC5" s="1" t="s">
        <v>131</v>
      </c>
    </row>
    <row r="7" spans="2:37" ht="12.75" hidden="1" outlineLevel="1">
      <c r="B7" s="8"/>
      <c r="C7" s="8" t="s">
        <v>26</v>
      </c>
      <c r="D7" s="8"/>
      <c r="E7" s="8"/>
      <c r="F7" s="8"/>
      <c r="G7" s="8"/>
      <c r="H7" s="8"/>
      <c r="I7" s="8"/>
      <c r="J7" s="8"/>
      <c r="K7" s="8"/>
      <c r="L7" s="8" t="s">
        <v>27</v>
      </c>
      <c r="M7" s="8"/>
      <c r="N7" s="8"/>
      <c r="O7" s="8"/>
      <c r="P7" s="8"/>
      <c r="Q7" s="8"/>
      <c r="R7" s="8"/>
      <c r="S7" s="8"/>
      <c r="T7" s="8"/>
      <c r="U7" s="8" t="s">
        <v>28</v>
      </c>
      <c r="V7" s="8"/>
      <c r="W7" s="8" t="s">
        <v>29</v>
      </c>
      <c r="X7" s="8"/>
      <c r="Y7" s="8" t="s">
        <v>30</v>
      </c>
      <c r="Z7" s="8"/>
      <c r="AA7" s="8" t="s">
        <v>31</v>
      </c>
      <c r="AB7" s="8"/>
      <c r="AC7" s="8"/>
      <c r="AD7" s="8"/>
      <c r="AE7" s="8"/>
      <c r="AF7" s="8" t="s">
        <v>32</v>
      </c>
      <c r="AG7" s="8"/>
      <c r="AH7" s="8" t="s">
        <v>33</v>
      </c>
      <c r="AI7" s="8"/>
      <c r="AJ7" s="8"/>
      <c r="AK7" s="8"/>
    </row>
    <row r="8" spans="2:37" ht="12.75" hidden="1" outlineLevel="1">
      <c r="B8" s="8" t="s">
        <v>119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/>
      <c r="L8" s="8" t="s">
        <v>2</v>
      </c>
      <c r="M8" s="8" t="s">
        <v>2</v>
      </c>
      <c r="N8" s="8" t="s">
        <v>2</v>
      </c>
      <c r="O8" s="8" t="s">
        <v>2</v>
      </c>
      <c r="P8" s="8" t="s">
        <v>3</v>
      </c>
      <c r="Q8" s="8" t="s">
        <v>3</v>
      </c>
      <c r="R8" s="8" t="s">
        <v>3</v>
      </c>
      <c r="S8" s="8" t="s">
        <v>3</v>
      </c>
      <c r="T8" s="8"/>
      <c r="U8" s="8" t="s">
        <v>4</v>
      </c>
      <c r="V8" s="8" t="s">
        <v>4</v>
      </c>
      <c r="W8" s="8" t="s">
        <v>5</v>
      </c>
      <c r="X8" s="8" t="s">
        <v>5</v>
      </c>
      <c r="Y8" s="8" t="s">
        <v>6</v>
      </c>
      <c r="Z8" s="8" t="s">
        <v>6</v>
      </c>
      <c r="AA8" s="8" t="s">
        <v>7</v>
      </c>
      <c r="AB8" s="8" t="s">
        <v>7</v>
      </c>
      <c r="AC8" s="8"/>
      <c r="AD8" s="8" t="s">
        <v>8</v>
      </c>
      <c r="AE8" s="8" t="s">
        <v>8</v>
      </c>
      <c r="AF8" s="8" t="s">
        <v>9</v>
      </c>
      <c r="AG8" s="8" t="s">
        <v>9</v>
      </c>
      <c r="AH8" s="8" t="s">
        <v>10</v>
      </c>
      <c r="AI8" s="8" t="s">
        <v>10</v>
      </c>
      <c r="AJ8" s="8" t="s">
        <v>10</v>
      </c>
      <c r="AK8" s="8" t="s">
        <v>10</v>
      </c>
    </row>
    <row r="9" spans="2:37" ht="12.75" hidden="1" outlineLevel="1">
      <c r="B9" s="8" t="str">
        <f>TRIM(B2)</f>
        <v>FFFFFFFF 000001F0 01000000 00010000 03F6 = 50 00 00 A0 A8 22 E1 50</v>
      </c>
      <c r="C9" s="9" t="str">
        <f>MID($B9,1,1)</f>
        <v>F</v>
      </c>
      <c r="D9" s="10" t="str">
        <f>MID($B9,2,1)</f>
        <v>F</v>
      </c>
      <c r="E9" s="10" t="str">
        <f>MID($B9,3,1)</f>
        <v>F</v>
      </c>
      <c r="F9" s="10" t="str">
        <f>MID($B9,4,1)</f>
        <v>F</v>
      </c>
      <c r="G9" s="10" t="str">
        <f>MID($B9,5,1)</f>
        <v>F</v>
      </c>
      <c r="H9" s="10" t="str">
        <f>MID($B9,6,1)</f>
        <v>F</v>
      </c>
      <c r="I9" s="10" t="str">
        <f>MID($B9,7,1)</f>
        <v>F</v>
      </c>
      <c r="J9" s="10" t="str">
        <f>MID($B9,8,1)</f>
        <v>F</v>
      </c>
      <c r="K9" s="10" t="str">
        <f>MID($B9,9,1)</f>
        <v> </v>
      </c>
      <c r="L9" s="10" t="str">
        <f>MID($B9,10,1)</f>
        <v>0</v>
      </c>
      <c r="M9" s="10" t="str">
        <f>MID($B9,11,1)</f>
        <v>0</v>
      </c>
      <c r="N9" s="10" t="str">
        <f>MID($B9,12,1)</f>
        <v>0</v>
      </c>
      <c r="O9" s="10" t="str">
        <f>MID($B9,13,1)</f>
        <v>0</v>
      </c>
      <c r="P9" s="10" t="str">
        <f>MID($B9,14,1)</f>
        <v>0</v>
      </c>
      <c r="Q9" s="10" t="str">
        <f>MID($B9,15,1)</f>
        <v>1</v>
      </c>
      <c r="R9" s="10" t="str">
        <f>MID($B9,16,1)</f>
        <v>F</v>
      </c>
      <c r="S9" s="10" t="str">
        <f>MID($B9,17,1)</f>
        <v>0</v>
      </c>
      <c r="T9" s="10" t="str">
        <f>MID($B9,18,1)</f>
        <v> </v>
      </c>
      <c r="U9" s="10" t="str">
        <f>MID($B9,19,1)</f>
        <v>0</v>
      </c>
      <c r="V9" s="10" t="str">
        <f>MID($B9,20,1)</f>
        <v>1</v>
      </c>
      <c r="W9" s="10" t="str">
        <f>MID($B9,21,1)</f>
        <v>0</v>
      </c>
      <c r="X9" s="10" t="str">
        <f>MID($B9,22,1)</f>
        <v>0</v>
      </c>
      <c r="Y9" s="10" t="str">
        <f>MID($B9,23,1)</f>
        <v>0</v>
      </c>
      <c r="Z9" s="10" t="str">
        <f>MID($B9,24,1)</f>
        <v>0</v>
      </c>
      <c r="AA9" s="10" t="str">
        <f>MID($B9,25,1)</f>
        <v>0</v>
      </c>
      <c r="AB9" s="10" t="str">
        <f>MID($B9,26,1)</f>
        <v>0</v>
      </c>
      <c r="AC9" s="10" t="str">
        <f>MID($B9,27,1)</f>
        <v> </v>
      </c>
      <c r="AD9" s="10" t="str">
        <f>MID($B9,28,1)</f>
        <v>0</v>
      </c>
      <c r="AE9" s="10" t="str">
        <f>MID($B9,29,1)</f>
        <v>0</v>
      </c>
      <c r="AF9" s="10" t="str">
        <f>MID($B9,30,1)</f>
        <v>0</v>
      </c>
      <c r="AG9" s="10" t="str">
        <f>MID($B9,31,1)</f>
        <v>1</v>
      </c>
      <c r="AH9" s="10" t="str">
        <f>MID($B9,32,1)</f>
        <v>0</v>
      </c>
      <c r="AI9" s="10" t="str">
        <f>MID($B9,33,1)</f>
        <v>0</v>
      </c>
      <c r="AJ9" s="10" t="str">
        <f>MID($B9,34,1)</f>
        <v>0</v>
      </c>
      <c r="AK9" s="11" t="str">
        <f>MID($B9,35,1)</f>
        <v>0</v>
      </c>
    </row>
    <row r="10" spans="2:37" ht="12.75" hidden="1" outlineLevel="1">
      <c r="B10" s="8"/>
      <c r="C10" s="8" t="s">
        <v>20</v>
      </c>
      <c r="D10" s="8"/>
      <c r="E10" s="8"/>
      <c r="F10" s="8"/>
      <c r="G10" s="8"/>
      <c r="H10" s="8"/>
      <c r="I10" s="8"/>
      <c r="J10" s="8"/>
      <c r="K10" s="8"/>
      <c r="L10" s="8" t="s">
        <v>21</v>
      </c>
      <c r="M10" s="8"/>
      <c r="N10" s="8"/>
      <c r="O10" s="8"/>
      <c r="P10" s="8" t="s">
        <v>22</v>
      </c>
      <c r="Q10" s="8"/>
      <c r="R10" s="8"/>
      <c r="S10" s="8"/>
      <c r="T10" s="8"/>
      <c r="U10" s="8" t="s">
        <v>23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2.75" hidden="1" outlineLevel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24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2.75" hidden="1" outlineLevel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 t="s">
        <v>25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2.75" hidden="1" outlineLevel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2:37" ht="12.75" hidden="1" outlineLevel="1">
      <c r="B14" s="8"/>
      <c r="C14" s="8" t="s">
        <v>34</v>
      </c>
      <c r="D14" s="8"/>
      <c r="E14" s="8"/>
      <c r="F14" s="8"/>
      <c r="G14" s="8"/>
      <c r="H14" s="8"/>
      <c r="I14" s="8"/>
      <c r="J14" s="8"/>
      <c r="K14" s="8"/>
      <c r="L14" s="8" t="s">
        <v>35</v>
      </c>
      <c r="M14" s="8"/>
      <c r="N14" s="8"/>
      <c r="O14" s="8"/>
      <c r="P14" s="8" t="s">
        <v>36</v>
      </c>
      <c r="Q14" s="8"/>
      <c r="R14" s="8"/>
      <c r="S14" s="8"/>
      <c r="T14" s="8"/>
      <c r="U14" s="8" t="s">
        <v>39</v>
      </c>
      <c r="V14" s="8"/>
      <c r="W14" s="8" t="s">
        <v>40</v>
      </c>
      <c r="X14" s="8"/>
      <c r="Y14" s="8" t="s">
        <v>37</v>
      </c>
      <c r="Z14" s="8"/>
      <c r="AA14" s="8" t="s">
        <v>38</v>
      </c>
      <c r="AB14" s="8"/>
      <c r="AC14" s="8"/>
      <c r="AD14" s="8" t="s">
        <v>46</v>
      </c>
      <c r="AE14" s="8"/>
      <c r="AF14" s="8"/>
      <c r="AG14" s="8"/>
      <c r="AH14" s="8"/>
      <c r="AI14" s="8"/>
      <c r="AJ14" s="8"/>
      <c r="AK14" s="8"/>
    </row>
    <row r="15" spans="2:37" ht="12.75" hidden="1" outlineLevel="1">
      <c r="B15" s="8" t="s">
        <v>118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/>
      <c r="L15" s="8" t="s">
        <v>14</v>
      </c>
      <c r="M15" s="8" t="s">
        <v>14</v>
      </c>
      <c r="N15" s="8" t="s">
        <v>14</v>
      </c>
      <c r="O15" s="8" t="s">
        <v>14</v>
      </c>
      <c r="P15" s="8" t="s">
        <v>15</v>
      </c>
      <c r="Q15" s="8" t="s">
        <v>15</v>
      </c>
      <c r="R15" s="8" t="s">
        <v>15</v>
      </c>
      <c r="S15" s="8" t="s">
        <v>15</v>
      </c>
      <c r="T15" s="8"/>
      <c r="U15" s="8" t="s">
        <v>11</v>
      </c>
      <c r="V15" s="8" t="s">
        <v>14</v>
      </c>
      <c r="W15" s="8" t="s">
        <v>2</v>
      </c>
      <c r="X15" s="8" t="s">
        <v>14</v>
      </c>
      <c r="Y15" s="8" t="s">
        <v>1</v>
      </c>
      <c r="Z15" s="8" t="s">
        <v>19</v>
      </c>
      <c r="AA15" s="8" t="s">
        <v>14</v>
      </c>
      <c r="AB15" s="8" t="s">
        <v>13</v>
      </c>
      <c r="AC15" s="8"/>
      <c r="AD15" s="8" t="s">
        <v>13</v>
      </c>
      <c r="AE15" s="8">
        <v>3</v>
      </c>
      <c r="AF15" s="8" t="s">
        <v>13</v>
      </c>
      <c r="AG15" s="8">
        <v>2</v>
      </c>
      <c r="AH15" s="8" t="s">
        <v>13</v>
      </c>
      <c r="AI15" s="8">
        <v>1</v>
      </c>
      <c r="AJ15" s="8" t="s">
        <v>13</v>
      </c>
      <c r="AK15" s="8">
        <v>0</v>
      </c>
    </row>
    <row r="16" spans="2:37" ht="12.75" hidden="1" outlineLevel="1">
      <c r="B16" s="8" t="str">
        <f>TRIM(B3)</f>
        <v>00000000 000003F6 00000000 00000000 0000 = FF FF FF FF FD FF 7F FF</v>
      </c>
      <c r="C16" s="9" t="str">
        <f>MID($B16,1,1)</f>
        <v>0</v>
      </c>
      <c r="D16" s="10" t="str">
        <f>MID($B16,2,1)</f>
        <v>0</v>
      </c>
      <c r="E16" s="10" t="str">
        <f>MID($B16,3,1)</f>
        <v>0</v>
      </c>
      <c r="F16" s="10" t="str">
        <f>MID($B16,4,1)</f>
        <v>0</v>
      </c>
      <c r="G16" s="10" t="str">
        <f>MID($B16,5,1)</f>
        <v>0</v>
      </c>
      <c r="H16" s="10" t="str">
        <f>MID($B16,6,1)</f>
        <v>0</v>
      </c>
      <c r="I16" s="10" t="str">
        <f>MID($B16,7,1)</f>
        <v>0</v>
      </c>
      <c r="J16" s="10" t="str">
        <f>MID($B16,8,1)</f>
        <v>0</v>
      </c>
      <c r="K16" s="10" t="str">
        <f>MID($B16,9,1)</f>
        <v> </v>
      </c>
      <c r="L16" s="10" t="str">
        <f>MID($B16,10,1)</f>
        <v>0</v>
      </c>
      <c r="M16" s="10" t="str">
        <f>MID($B16,11,1)</f>
        <v>0</v>
      </c>
      <c r="N16" s="10" t="str">
        <f>MID($B16,12,1)</f>
        <v>0</v>
      </c>
      <c r="O16" s="10" t="str">
        <f>MID($B16,13,1)</f>
        <v>0</v>
      </c>
      <c r="P16" s="10" t="str">
        <f>MID($B16,14,1)</f>
        <v>0</v>
      </c>
      <c r="Q16" s="10" t="str">
        <f>MID($B16,15,1)</f>
        <v>3</v>
      </c>
      <c r="R16" s="10" t="str">
        <f>MID($B16,16,1)</f>
        <v>F</v>
      </c>
      <c r="S16" s="10" t="str">
        <f>MID($B16,17,1)</f>
        <v>6</v>
      </c>
      <c r="T16" s="10" t="str">
        <f>MID($B16,18,1)</f>
        <v> </v>
      </c>
      <c r="U16" s="10" t="str">
        <f>MID($B16,19,1)</f>
        <v>0</v>
      </c>
      <c r="V16" s="10" t="str">
        <f>MID($B16,20,1)</f>
        <v>0</v>
      </c>
      <c r="W16" s="10" t="str">
        <f>MID($B16,21,1)</f>
        <v>0</v>
      </c>
      <c r="X16" s="10" t="str">
        <f>MID($B16,22,1)</f>
        <v>0</v>
      </c>
      <c r="Y16" s="10" t="str">
        <f>MID($B16,23,1)</f>
        <v>0</v>
      </c>
      <c r="Z16" s="10" t="str">
        <f>MID($B16,24,1)</f>
        <v>0</v>
      </c>
      <c r="AA16" s="10" t="str">
        <f>MID($B16,25,1)</f>
        <v>0</v>
      </c>
      <c r="AB16" s="10" t="str">
        <f>MID($B16,26,1)</f>
        <v>0</v>
      </c>
      <c r="AC16" s="10" t="str">
        <f>MID($B16,27,1)</f>
        <v> </v>
      </c>
      <c r="AD16" s="10" t="str">
        <f>MID($B16,28,1)</f>
        <v>0</v>
      </c>
      <c r="AE16" s="10" t="str">
        <f>MID($B16,29,1)</f>
        <v>0</v>
      </c>
      <c r="AF16" s="10" t="str">
        <f>MID($B16,30,1)</f>
        <v>0</v>
      </c>
      <c r="AG16" s="10" t="str">
        <f>MID($B16,31,1)</f>
        <v>0</v>
      </c>
      <c r="AH16" s="10" t="str">
        <f>MID($B16,32,1)</f>
        <v>0</v>
      </c>
      <c r="AI16" s="10" t="str">
        <f>MID($B16,33,1)</f>
        <v>0</v>
      </c>
      <c r="AJ16" s="10" t="str">
        <f>MID($B16,34,1)</f>
        <v>0</v>
      </c>
      <c r="AK16" s="11" t="str">
        <f>MID($B16,35,1)</f>
        <v>0</v>
      </c>
    </row>
    <row r="17" spans="2:37" ht="12.75" hidden="1" outlineLevel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 t="s">
        <v>41</v>
      </c>
      <c r="AB17" s="8" t="s">
        <v>45</v>
      </c>
      <c r="AC17" s="8"/>
      <c r="AD17" s="8" t="s">
        <v>47</v>
      </c>
      <c r="AE17" s="8"/>
      <c r="AF17" s="8" t="s">
        <v>48</v>
      </c>
      <c r="AG17" s="8"/>
      <c r="AH17" s="8" t="s">
        <v>49</v>
      </c>
      <c r="AI17" s="8"/>
      <c r="AJ17" s="8" t="s">
        <v>50</v>
      </c>
      <c r="AK17" s="8"/>
    </row>
    <row r="18" spans="2:37" ht="12.75" hidden="1" outlineLevel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42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2:37" ht="12.75" hidden="1" outlineLevel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43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2:37" ht="12.75" hidden="1" outlineLevel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 t="s">
        <v>44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2:37" ht="12.75" hidden="1" outlineLevel="1">
      <c r="B21" s="8"/>
      <c r="C21" s="8" t="s">
        <v>102</v>
      </c>
      <c r="D21" s="8"/>
      <c r="E21" s="8"/>
      <c r="F21" s="8"/>
      <c r="G21" s="8"/>
      <c r="H21" s="8"/>
      <c r="I21" s="8"/>
      <c r="J21" s="8"/>
      <c r="K21" s="8"/>
      <c r="L21" s="8" t="s">
        <v>51</v>
      </c>
      <c r="M21" s="8"/>
      <c r="N21" s="8"/>
      <c r="O21" s="8"/>
      <c r="P21" s="8"/>
      <c r="Q21" s="8"/>
      <c r="R21" s="8"/>
      <c r="S21" s="8"/>
      <c r="T21" s="8"/>
      <c r="U21" s="8" t="s">
        <v>52</v>
      </c>
      <c r="V21" s="8"/>
      <c r="W21" s="8"/>
      <c r="X21" s="8"/>
      <c r="Y21" s="8"/>
      <c r="Z21" s="8"/>
      <c r="AA21" s="8"/>
      <c r="AB21" s="8"/>
      <c r="AC21" s="8"/>
      <c r="AD21" s="8" t="s">
        <v>53</v>
      </c>
      <c r="AE21" s="8"/>
      <c r="AF21" s="8"/>
      <c r="AG21" s="8"/>
      <c r="AH21" s="8" t="s">
        <v>56</v>
      </c>
      <c r="AI21" s="8"/>
      <c r="AJ21" s="8" t="s">
        <v>61</v>
      </c>
      <c r="AK21" s="8"/>
    </row>
    <row r="22" spans="2:37" ht="12.75" hidden="1" outlineLevel="1">
      <c r="B22" s="8" t="s">
        <v>117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/>
      <c r="L22" s="8" t="s">
        <v>16</v>
      </c>
      <c r="M22" s="8">
        <v>1</v>
      </c>
      <c r="N22" s="8" t="s">
        <v>16</v>
      </c>
      <c r="O22" s="8">
        <v>1</v>
      </c>
      <c r="P22" s="8" t="s">
        <v>16</v>
      </c>
      <c r="Q22" s="8">
        <v>1</v>
      </c>
      <c r="R22" s="8" t="s">
        <v>16</v>
      </c>
      <c r="S22" s="8">
        <v>1</v>
      </c>
      <c r="T22" s="8"/>
      <c r="U22" s="8" t="s">
        <v>16</v>
      </c>
      <c r="V22" s="8">
        <v>0</v>
      </c>
      <c r="W22" s="8" t="s">
        <v>16</v>
      </c>
      <c r="X22" s="8">
        <v>0</v>
      </c>
      <c r="Y22" s="8" t="s">
        <v>16</v>
      </c>
      <c r="Z22" s="8">
        <v>0</v>
      </c>
      <c r="AA22" s="8" t="s">
        <v>16</v>
      </c>
      <c r="AB22" s="8">
        <v>0</v>
      </c>
      <c r="AC22" s="8"/>
      <c r="AD22" s="8" t="s">
        <v>6</v>
      </c>
      <c r="AE22" s="8">
        <v>1</v>
      </c>
      <c r="AF22" s="8" t="s">
        <v>6</v>
      </c>
      <c r="AG22" s="8">
        <v>0</v>
      </c>
      <c r="AH22" s="8" t="s">
        <v>13</v>
      </c>
      <c r="AI22" s="8" t="s">
        <v>17</v>
      </c>
      <c r="AJ22" s="8" t="s">
        <v>13</v>
      </c>
      <c r="AK22" s="8" t="s">
        <v>18</v>
      </c>
    </row>
    <row r="23" spans="2:37" ht="12.75" hidden="1" outlineLevel="1">
      <c r="B23" s="8" t="str">
        <f>TRIM(B4)</f>
        <v>00000000 0000000E 00000000 000E0030 0002 = FF</v>
      </c>
      <c r="C23" s="9" t="str">
        <f>MID($B23,1,1)</f>
        <v>0</v>
      </c>
      <c r="D23" s="10" t="str">
        <f>MID($B23,2,1)</f>
        <v>0</v>
      </c>
      <c r="E23" s="10" t="str">
        <f>MID($B23,3,1)</f>
        <v>0</v>
      </c>
      <c r="F23" s="10" t="str">
        <f>MID($B23,4,1)</f>
        <v>0</v>
      </c>
      <c r="G23" s="10" t="str">
        <f>MID($B23,5,1)</f>
        <v>0</v>
      </c>
      <c r="H23" s="10" t="str">
        <f>MID($B23,6,1)</f>
        <v>0</v>
      </c>
      <c r="I23" s="10" t="str">
        <f>MID($B23,7,1)</f>
        <v>0</v>
      </c>
      <c r="J23" s="10" t="str">
        <f>MID($B23,8,1)</f>
        <v>0</v>
      </c>
      <c r="K23" s="10" t="str">
        <f>MID($B23,9,1)</f>
        <v> </v>
      </c>
      <c r="L23" s="10" t="str">
        <f>MID($B23,10,1)</f>
        <v>0</v>
      </c>
      <c r="M23" s="10" t="str">
        <f>MID($B23,11,1)</f>
        <v>0</v>
      </c>
      <c r="N23" s="10" t="str">
        <f>MID($B23,12,1)</f>
        <v>0</v>
      </c>
      <c r="O23" s="10" t="str">
        <f>MID($B23,13,1)</f>
        <v>0</v>
      </c>
      <c r="P23" s="10" t="str">
        <f>MID($B23,14,1)</f>
        <v>0</v>
      </c>
      <c r="Q23" s="10" t="str">
        <f>MID($B23,15,1)</f>
        <v>0</v>
      </c>
      <c r="R23" s="10" t="str">
        <f>MID($B23,16,1)</f>
        <v>0</v>
      </c>
      <c r="S23" s="10" t="str">
        <f>MID($B23,17,1)</f>
        <v>E</v>
      </c>
      <c r="T23" s="10" t="str">
        <f>MID($B23,18,1)</f>
        <v> </v>
      </c>
      <c r="U23" s="10" t="str">
        <f>MID($B23,19,1)</f>
        <v>0</v>
      </c>
      <c r="V23" s="10" t="str">
        <f>MID($B23,20,1)</f>
        <v>0</v>
      </c>
      <c r="W23" s="10" t="str">
        <f>MID($B23,21,1)</f>
        <v>0</v>
      </c>
      <c r="X23" s="10" t="str">
        <f>MID($B23,22,1)</f>
        <v>0</v>
      </c>
      <c r="Y23" s="10" t="str">
        <f>MID($B23,23,1)</f>
        <v>0</v>
      </c>
      <c r="Z23" s="10" t="str">
        <f>MID($B23,24,1)</f>
        <v>0</v>
      </c>
      <c r="AA23" s="10" t="str">
        <f>MID($B23,25,1)</f>
        <v>0</v>
      </c>
      <c r="AB23" s="10" t="str">
        <f>MID($B23,26,1)</f>
        <v>0</v>
      </c>
      <c r="AC23" s="10" t="str">
        <f>MID($B23,27,1)</f>
        <v> </v>
      </c>
      <c r="AD23" s="10" t="str">
        <f>MID($B23,28,1)</f>
        <v>0</v>
      </c>
      <c r="AE23" s="10" t="str">
        <f>MID($B23,29,1)</f>
        <v>0</v>
      </c>
      <c r="AF23" s="10" t="str">
        <f>MID($B23,30,1)</f>
        <v>0</v>
      </c>
      <c r="AG23" s="10" t="str">
        <f>MID($B23,31,1)</f>
        <v>E</v>
      </c>
      <c r="AH23" s="10" t="str">
        <f>MID($B23,32,1)</f>
        <v>0</v>
      </c>
      <c r="AI23" s="10" t="str">
        <f>MID($B23,33,1)</f>
        <v>0</v>
      </c>
      <c r="AJ23" s="10" t="str">
        <f>MID($B23,34,1)</f>
        <v>3</v>
      </c>
      <c r="AK23" s="11" t="str">
        <f>MID($B23,35,1)</f>
        <v>0</v>
      </c>
    </row>
    <row r="24" spans="2:37" ht="12.75" hidden="1" outlineLevel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3" t="s">
        <v>134</v>
      </c>
      <c r="Y24" s="12" t="s">
        <v>135</v>
      </c>
      <c r="Z24" s="12"/>
      <c r="AA24" s="12" t="s">
        <v>136</v>
      </c>
      <c r="AB24" s="12"/>
      <c r="AC24" s="12"/>
      <c r="AD24" s="8" t="s">
        <v>55</v>
      </c>
      <c r="AE24" s="8"/>
      <c r="AF24" s="8" t="s">
        <v>54</v>
      </c>
      <c r="AG24" s="8"/>
      <c r="AH24" s="8"/>
      <c r="AI24" s="8" t="s">
        <v>57</v>
      </c>
      <c r="AJ24" s="8"/>
      <c r="AK24" s="8"/>
    </row>
    <row r="25" spans="2:37" ht="12.75" hidden="1" outlineLevel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12"/>
      <c r="Y25" s="12">
        <f>IF(Z25&gt;=$AH25,1,0)</f>
        <v>0</v>
      </c>
      <c r="Z25" s="12">
        <f>Z26-Y26*$AH26</f>
        <v>0</v>
      </c>
      <c r="AA25" s="12">
        <f>IF(AB25&gt;=$AH25,1,0)</f>
        <v>1</v>
      </c>
      <c r="AB25" s="12">
        <f>AB26-AA26*$AH26</f>
        <v>1</v>
      </c>
      <c r="AC25" s="12"/>
      <c r="AD25" s="8"/>
      <c r="AE25" s="8"/>
      <c r="AF25" s="8"/>
      <c r="AG25" s="8"/>
      <c r="AH25" s="12">
        <v>1</v>
      </c>
      <c r="AI25" s="8" t="s">
        <v>60</v>
      </c>
      <c r="AJ25" s="8"/>
      <c r="AK25" s="8"/>
    </row>
    <row r="26" spans="2:37" ht="12.75" hidden="1" outlineLevel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12"/>
      <c r="Y26" s="12">
        <f>IF(Z26&gt;=$AH26,1,0)</f>
        <v>0</v>
      </c>
      <c r="Z26" s="12">
        <f>Z27-Y27*$AH27</f>
        <v>0</v>
      </c>
      <c r="AA26" s="12">
        <f>IF(AB26&gt;=$AH26,1,0)</f>
        <v>1</v>
      </c>
      <c r="AB26" s="12">
        <f>AB27-AA27*$AH27</f>
        <v>3</v>
      </c>
      <c r="AC26" s="12"/>
      <c r="AD26" s="8"/>
      <c r="AE26" s="8"/>
      <c r="AF26" s="8"/>
      <c r="AG26" s="8"/>
      <c r="AH26" s="12">
        <v>2</v>
      </c>
      <c r="AI26" s="8" t="s">
        <v>59</v>
      </c>
      <c r="AJ26" s="8"/>
      <c r="AK26" s="8" t="s">
        <v>62</v>
      </c>
    </row>
    <row r="27" spans="2:37" ht="12.75" hidden="1" outlineLevel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2"/>
      <c r="W27" s="12"/>
      <c r="X27" s="12"/>
      <c r="Y27" s="12">
        <f>IF(Z27&gt;=$AH27,1,0)</f>
        <v>0</v>
      </c>
      <c r="Z27" s="12">
        <f>Z28-Y28*$AH28</f>
        <v>0</v>
      </c>
      <c r="AA27" s="12">
        <f>IF(AB27&gt;=$AH27,1,0)</f>
        <v>0</v>
      </c>
      <c r="AB27" s="12">
        <f>AB28-AA28*$AH28</f>
        <v>3</v>
      </c>
      <c r="AC27" s="12"/>
      <c r="AD27" s="8"/>
      <c r="AE27" s="8"/>
      <c r="AF27" s="8"/>
      <c r="AG27" s="8"/>
      <c r="AH27" s="12">
        <v>4</v>
      </c>
      <c r="AI27" s="8" t="s">
        <v>58</v>
      </c>
      <c r="AJ27" s="8"/>
      <c r="AK27" s="8" t="s">
        <v>62</v>
      </c>
    </row>
    <row r="28" spans="2:37" ht="12.75" hidden="1" outlineLevel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12"/>
      <c r="X28" s="12"/>
      <c r="Y28" s="12">
        <f>IF(Z28&gt;=$AH28,1,0)</f>
        <v>0</v>
      </c>
      <c r="Z28" s="12">
        <f>IF(CODE(AH23)&gt;64,CODE(AH23)-55,CODE(AH23)-48)</f>
        <v>0</v>
      </c>
      <c r="AA28" s="12">
        <f>IF(AB28&gt;=$AH28,1,0)</f>
        <v>0</v>
      </c>
      <c r="AB28" s="12">
        <f>IF(CODE(AJ23)&gt;64,CODE(AJ23)-55,CODE(AJ23)-48)</f>
        <v>3</v>
      </c>
      <c r="AC28" s="12"/>
      <c r="AD28" s="8"/>
      <c r="AE28" s="8"/>
      <c r="AF28" s="8"/>
      <c r="AG28" s="8"/>
      <c r="AH28" s="12">
        <v>8</v>
      </c>
      <c r="AI28" s="8" t="s">
        <v>133</v>
      </c>
      <c r="AJ28" s="8"/>
      <c r="AK28" s="8" t="s">
        <v>62</v>
      </c>
    </row>
    <row r="29" spans="2:37" ht="12.75" hidden="1" outlineLevel="1">
      <c r="B29" s="8"/>
      <c r="C29" s="8"/>
      <c r="D29" s="8"/>
      <c r="E29" s="8" t="s">
        <v>63</v>
      </c>
      <c r="F29" s="8"/>
      <c r="G29" s="8"/>
      <c r="H29" s="8"/>
      <c r="I29" s="8"/>
      <c r="J29" s="8"/>
      <c r="K29" s="8"/>
      <c r="L29" s="8" t="s">
        <v>65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2:37" ht="12.75" hidden="1" outlineLevel="1">
      <c r="B30" s="8" t="s">
        <v>116</v>
      </c>
      <c r="C30" s="8" t="s">
        <v>8</v>
      </c>
      <c r="D30" s="8" t="s">
        <v>8</v>
      </c>
      <c r="E30" s="8" t="s">
        <v>13</v>
      </c>
      <c r="F30" s="8" t="s">
        <v>1</v>
      </c>
      <c r="G30" s="8" t="s">
        <v>11</v>
      </c>
      <c r="H30" s="8" t="s">
        <v>0</v>
      </c>
      <c r="I30" s="8" t="s">
        <v>11</v>
      </c>
      <c r="J30" s="8" t="s">
        <v>0</v>
      </c>
      <c r="K30" s="8"/>
      <c r="L30" s="8" t="s">
        <v>11</v>
      </c>
      <c r="M30" s="8">
        <v>1</v>
      </c>
      <c r="N30" s="8" t="s">
        <v>11</v>
      </c>
      <c r="O30" s="8">
        <v>0</v>
      </c>
      <c r="P30" s="8" t="s">
        <v>8</v>
      </c>
      <c r="Q30" s="8" t="s">
        <v>8</v>
      </c>
      <c r="R30" s="8" t="s">
        <v>8</v>
      </c>
      <c r="S30" s="8" t="s">
        <v>8</v>
      </c>
      <c r="T30" s="8"/>
      <c r="U30" s="8" t="s">
        <v>1</v>
      </c>
      <c r="V30" s="8" t="s">
        <v>5</v>
      </c>
      <c r="W30" s="8" t="s">
        <v>1</v>
      </c>
      <c r="X30" s="8" t="s">
        <v>13</v>
      </c>
      <c r="Y30" s="8" t="s">
        <v>1</v>
      </c>
      <c r="Z30" s="8" t="s">
        <v>11</v>
      </c>
      <c r="AA30" s="8" t="s">
        <v>1</v>
      </c>
      <c r="AB30" s="8" t="s">
        <v>6</v>
      </c>
      <c r="AC30" s="8"/>
      <c r="AD30" s="8" t="s">
        <v>2</v>
      </c>
      <c r="AE30" s="8" t="s">
        <v>19</v>
      </c>
      <c r="AF30" s="8" t="s">
        <v>2</v>
      </c>
      <c r="AG30" s="8" t="s">
        <v>19</v>
      </c>
      <c r="AH30" s="8" t="s">
        <v>2</v>
      </c>
      <c r="AI30" s="8" t="s">
        <v>18</v>
      </c>
      <c r="AJ30" s="8" t="s">
        <v>2</v>
      </c>
      <c r="AK30" s="8" t="s">
        <v>18</v>
      </c>
    </row>
    <row r="31" spans="2:37" ht="12.75" hidden="1" outlineLevel="1">
      <c r="B31" s="8" t="str">
        <f>TRIM(B5)</f>
        <v>00010000 00010000 00000000 00000000 000A = FF</v>
      </c>
      <c r="C31" s="9" t="str">
        <f>MID($B31,1,1)</f>
        <v>0</v>
      </c>
      <c r="D31" s="10" t="str">
        <f>MID($B31,2,1)</f>
        <v>0</v>
      </c>
      <c r="E31" s="10" t="str">
        <f>MID($B31,3,1)</f>
        <v>0</v>
      </c>
      <c r="F31" s="10" t="str">
        <f>MID($B31,4,1)</f>
        <v>1</v>
      </c>
      <c r="G31" s="10" t="str">
        <f>MID($B31,5,1)</f>
        <v>0</v>
      </c>
      <c r="H31" s="10" t="str">
        <f>MID($B31,6,1)</f>
        <v>0</v>
      </c>
      <c r="I31" s="10" t="str">
        <f>MID($B31,7,1)</f>
        <v>0</v>
      </c>
      <c r="J31" s="10" t="str">
        <f>MID($B31,8,1)</f>
        <v>0</v>
      </c>
      <c r="K31" s="10" t="str">
        <f>MID($B31,9,1)</f>
        <v> </v>
      </c>
      <c r="L31" s="10" t="str">
        <f>MID($B31,10,1)</f>
        <v>0</v>
      </c>
      <c r="M31" s="10" t="str">
        <f>MID($B31,11,1)</f>
        <v>0</v>
      </c>
      <c r="N31" s="10" t="str">
        <f>MID($B31,12,1)</f>
        <v>0</v>
      </c>
      <c r="O31" s="10" t="str">
        <f>MID($B31,13,1)</f>
        <v>1</v>
      </c>
      <c r="P31" s="10" t="str">
        <f>MID($B31,14,1)</f>
        <v>0</v>
      </c>
      <c r="Q31" s="10" t="str">
        <f>MID($B31,15,1)</f>
        <v>0</v>
      </c>
      <c r="R31" s="10" t="str">
        <f>MID($B31,16,1)</f>
        <v>0</v>
      </c>
      <c r="S31" s="10" t="str">
        <f>MID($B31,17,1)</f>
        <v>0</v>
      </c>
      <c r="T31" s="10" t="str">
        <f>MID($B31,18,1)</f>
        <v> </v>
      </c>
      <c r="U31" s="10" t="str">
        <f>MID($B31,19,1)</f>
        <v>0</v>
      </c>
      <c r="V31" s="10" t="str">
        <f>MID($B31,20,1)</f>
        <v>0</v>
      </c>
      <c r="W31" s="10" t="str">
        <f>MID($B31,21,1)</f>
        <v>0</v>
      </c>
      <c r="X31" s="10" t="str">
        <f>MID($B31,22,1)</f>
        <v>0</v>
      </c>
      <c r="Y31" s="10" t="str">
        <f>MID($B31,23,1)</f>
        <v>0</v>
      </c>
      <c r="Z31" s="10" t="str">
        <f>MID($B31,24,1)</f>
        <v>0</v>
      </c>
      <c r="AA31" s="10" t="str">
        <f>MID($B31,25,1)</f>
        <v>0</v>
      </c>
      <c r="AB31" s="10" t="str">
        <f>MID($B31,26,1)</f>
        <v>0</v>
      </c>
      <c r="AC31" s="10" t="str">
        <f>MID($B31,27,1)</f>
        <v> </v>
      </c>
      <c r="AD31" s="10" t="str">
        <f>MID($B31,28,1)</f>
        <v>0</v>
      </c>
      <c r="AE31" s="10" t="str">
        <f>MID($B31,29,1)</f>
        <v>0</v>
      </c>
      <c r="AF31" s="10" t="str">
        <f>MID($B31,30,1)</f>
        <v>0</v>
      </c>
      <c r="AG31" s="10" t="str">
        <f>MID($B31,31,1)</f>
        <v>0</v>
      </c>
      <c r="AH31" s="10" t="str">
        <f>MID($B31,32,1)</f>
        <v>0</v>
      </c>
      <c r="AI31" s="10" t="str">
        <f>MID($B31,33,1)</f>
        <v>0</v>
      </c>
      <c r="AJ31" s="10" t="str">
        <f>MID($B31,34,1)</f>
        <v>0</v>
      </c>
      <c r="AK31" s="11" t="str">
        <f>MID($B31,35,1)</f>
        <v>0</v>
      </c>
    </row>
    <row r="32" spans="2:37" ht="12.75" hidden="1" outlineLevel="1">
      <c r="B32" s="8"/>
      <c r="C32" s="8"/>
      <c r="D32" s="8"/>
      <c r="E32" s="8"/>
      <c r="F32" s="8"/>
      <c r="G32" s="8" t="s">
        <v>64</v>
      </c>
      <c r="H32" s="8"/>
      <c r="I32" s="8"/>
      <c r="J32" s="8"/>
      <c r="K32" s="8"/>
      <c r="L32" s="8" t="s">
        <v>67</v>
      </c>
      <c r="M32" s="8"/>
      <c r="N32" s="8" t="s">
        <v>66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71</v>
      </c>
      <c r="AB32" s="8"/>
      <c r="AC32" s="8"/>
      <c r="AD32" s="8"/>
      <c r="AE32" s="8"/>
      <c r="AF32" s="8"/>
      <c r="AG32" s="8"/>
      <c r="AH32" s="8" t="s">
        <v>73</v>
      </c>
      <c r="AI32" s="8"/>
      <c r="AJ32" s="8"/>
      <c r="AK32" s="8"/>
    </row>
    <row r="33" spans="2:37" ht="12.75" hidden="1" outlineLevel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70</v>
      </c>
      <c r="Z33" s="8"/>
      <c r="AA33" s="8"/>
      <c r="AB33" s="8"/>
      <c r="AC33" s="8"/>
      <c r="AD33" s="8" t="s">
        <v>72</v>
      </c>
      <c r="AE33" s="8"/>
      <c r="AF33" s="8"/>
      <c r="AG33" s="8"/>
      <c r="AH33" s="8"/>
      <c r="AI33" s="8"/>
      <c r="AJ33" s="8"/>
      <c r="AK33" s="8"/>
    </row>
    <row r="34" spans="2:37" ht="12.75" hidden="1" outlineLevel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 t="s">
        <v>69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2:37" ht="12.75" hidden="1" outlineLevel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 t="s">
        <v>68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ht="12.75" collapsed="1"/>
    <row r="37" ht="12.75">
      <c r="C37" s="1" t="s">
        <v>74</v>
      </c>
    </row>
    <row r="38" spans="5:20" ht="12.75">
      <c r="E38" s="1" t="s">
        <v>75</v>
      </c>
      <c r="J38" s="3" t="str">
        <f>C9&amp;D9&amp;E9&amp;F9</f>
        <v>FFFF</v>
      </c>
      <c r="O38" s="1" t="s">
        <v>76</v>
      </c>
      <c r="T38" s="3" t="str">
        <f>G9&amp;H9&amp;I9&amp;J9</f>
        <v>FFFF</v>
      </c>
    </row>
    <row r="39" spans="16:34" ht="12.75">
      <c r="P39" s="2" t="s">
        <v>91</v>
      </c>
      <c r="Q39" s="3" t="str">
        <f>U16&amp;V16</f>
        <v>00</v>
      </c>
      <c r="AG39" s="2" t="s">
        <v>113</v>
      </c>
      <c r="AH39" s="3" t="str">
        <f>U31&amp;V31</f>
        <v>00</v>
      </c>
    </row>
    <row r="40" spans="16:34" ht="12.75">
      <c r="P40" s="2" t="s">
        <v>89</v>
      </c>
      <c r="Q40" s="3" t="str">
        <f>W16&amp;X16</f>
        <v>00</v>
      </c>
      <c r="AG40" s="2" t="s">
        <v>112</v>
      </c>
      <c r="AH40" s="3" t="str">
        <f>W31&amp;X31</f>
        <v>00</v>
      </c>
    </row>
    <row r="41" spans="16:34" ht="12.75">
      <c r="P41" s="2" t="s">
        <v>90</v>
      </c>
      <c r="Q41" s="3" t="str">
        <f>Y16&amp;Z16</f>
        <v>00</v>
      </c>
      <c r="AG41" s="2" t="s">
        <v>111</v>
      </c>
      <c r="AH41" s="3" t="str">
        <f>Y31&amp;Z31</f>
        <v>00</v>
      </c>
    </row>
    <row r="42" spans="16:34" ht="12.75">
      <c r="P42" s="2" t="s">
        <v>92</v>
      </c>
      <c r="Q42" s="3" t="str">
        <f>AA16&amp;AB16</f>
        <v>00</v>
      </c>
      <c r="R42" s="4" t="s">
        <v>93</v>
      </c>
      <c r="S42" s="6" t="str">
        <f>CHOOSE(AA16+1,"PIO","Single-word DMA","Multi-word DMA","[3]","Ultra DMA")&amp;",  mode/speed = "&amp;AB16</f>
        <v>PIO,  mode/speed = 0</v>
      </c>
      <c r="AG42" s="2" t="s">
        <v>110</v>
      </c>
      <c r="AH42" s="3" t="str">
        <f>AA31&amp;AB31</f>
        <v>00</v>
      </c>
    </row>
    <row r="43" spans="16:34" ht="12.75">
      <c r="P43" s="5" t="s">
        <v>106</v>
      </c>
      <c r="Q43" s="6" t="str">
        <f>IF(S43="(0)","No","Yes")</f>
        <v>No</v>
      </c>
      <c r="S43" s="3" t="str">
        <f>"("&amp;AI23&amp;")"</f>
        <v>(0)</v>
      </c>
      <c r="AG43" s="2" t="s">
        <v>114</v>
      </c>
      <c r="AH43" s="3" t="str">
        <f>AD31&amp;AE31&amp;AF31&amp;AG31</f>
        <v>0000</v>
      </c>
    </row>
    <row r="44" spans="16:34" ht="12.75">
      <c r="P44" s="2" t="s">
        <v>107</v>
      </c>
      <c r="Q44" s="3" t="str">
        <f>E31&amp;F31</f>
        <v>01</v>
      </c>
      <c r="S44" s="3"/>
      <c r="AG44" s="2" t="s">
        <v>115</v>
      </c>
      <c r="AH44" s="3" t="str">
        <f>AH31&amp;AI31&amp;AJ31&amp;AK31</f>
        <v>0000</v>
      </c>
    </row>
    <row r="45" spans="16:19" ht="12.75">
      <c r="P45" s="2" t="s">
        <v>108</v>
      </c>
      <c r="Q45" s="3" t="str">
        <f>G31&amp;H31&amp;I31&amp;J31</f>
        <v>0000</v>
      </c>
      <c r="S45" s="3"/>
    </row>
    <row r="46" spans="16:19" ht="12.75">
      <c r="P46" s="5"/>
      <c r="Q46" s="6"/>
      <c r="S46" s="3"/>
    </row>
    <row r="47" spans="3:34" ht="12.75">
      <c r="C47" s="1" t="s">
        <v>77</v>
      </c>
      <c r="M47" s="2" t="s">
        <v>81</v>
      </c>
      <c r="N47" s="3" t="str">
        <f>IF(U9=8,"SLOT=","PORT=")</f>
        <v>PORT=</v>
      </c>
      <c r="Q47" s="1" t="s">
        <v>82</v>
      </c>
      <c r="V47" s="3" t="str">
        <f>CHOOSE(V9+1,"none","primary","secondary","both")</f>
        <v>primary</v>
      </c>
      <c r="Y47" s="1" t="s">
        <v>83</v>
      </c>
      <c r="AD47" s="1" t="s">
        <v>78</v>
      </c>
      <c r="AH47" s="1" t="s">
        <v>79</v>
      </c>
    </row>
    <row r="48" spans="11:34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 t="s">
        <v>80</v>
      </c>
      <c r="AD48" s="3" t="str">
        <f>P9&amp;Q9&amp;R9&amp;S9</f>
        <v>01F0</v>
      </c>
      <c r="AH48" s="3" t="str">
        <f>L9&amp;M9&amp;N9&amp;O9</f>
        <v>0000</v>
      </c>
    </row>
    <row r="49" spans="29:34" ht="12.75">
      <c r="AC49" s="2" t="s">
        <v>88</v>
      </c>
      <c r="AD49" s="3" t="str">
        <f>P16&amp;Q16&amp;R16&amp;S16</f>
        <v>03F6</v>
      </c>
      <c r="AH49" s="3" t="str">
        <f>L16&amp;M16&amp;N16&amp;O16</f>
        <v>0000</v>
      </c>
    </row>
    <row r="50" spans="3:34" ht="12.75">
      <c r="C50" s="1" t="s">
        <v>84</v>
      </c>
      <c r="P50" s="2" t="s">
        <v>85</v>
      </c>
      <c r="Q50" s="3" t="str">
        <f>AH9&amp;AI9&amp;AJ9&amp;AK9</f>
        <v>0000</v>
      </c>
      <c r="AC50" s="2" t="s">
        <v>105</v>
      </c>
      <c r="AD50" s="3" t="str">
        <f>L23&amp;M23&amp;N23&amp;O23&amp;P23&amp;Q23&amp;R23&amp;S23</f>
        <v>0000000E</v>
      </c>
      <c r="AH50" s="3" t="str">
        <f>U23&amp;V23&amp;W23&amp;X23&amp;Y23&amp;Z23&amp;AA23&amp;AB23</f>
        <v>00000000</v>
      </c>
    </row>
    <row r="51" spans="16:34" ht="12.75">
      <c r="P51" s="2" t="s">
        <v>86</v>
      </c>
      <c r="Q51" s="3" t="str">
        <f>IF(S51="(00)","No","Yes")</f>
        <v>Yes</v>
      </c>
      <c r="S51" s="3" t="str">
        <f>"("&amp;AF9&amp;AG9&amp;")"</f>
        <v>(01)</v>
      </c>
      <c r="AC51" s="2" t="s">
        <v>104</v>
      </c>
      <c r="AD51" s="3" t="str">
        <f>AF23&amp;AG23</f>
        <v>0E</v>
      </c>
      <c r="AH51" s="3" t="str">
        <f>AD23&amp;AE23</f>
        <v>00</v>
      </c>
    </row>
    <row r="52" spans="16:34" ht="12.75">
      <c r="P52" s="2" t="s">
        <v>87</v>
      </c>
      <c r="Q52" s="3" t="str">
        <f>C16&amp;D16&amp;E16&amp;F16&amp;G16&amp;H16&amp;I16&amp;J16</f>
        <v>00000000</v>
      </c>
      <c r="AC52" s="2" t="s">
        <v>109</v>
      </c>
      <c r="AD52" s="3" t="str">
        <f>N31&amp;O31</f>
        <v>01</v>
      </c>
      <c r="AH52" s="3" t="str">
        <f>L31&amp;M31</f>
        <v>00</v>
      </c>
    </row>
    <row r="53" spans="16:17" ht="12.75">
      <c r="P53" s="2" t="s">
        <v>103</v>
      </c>
      <c r="Q53" s="3" t="str">
        <f>C23&amp;D23&amp;E23&amp;F23&amp;G23&amp;H23&amp;I23&amp;J23</f>
        <v>00000000</v>
      </c>
    </row>
    <row r="54" spans="3:16" ht="12.75">
      <c r="C54" s="1" t="s">
        <v>94</v>
      </c>
      <c r="J54" s="1" t="s">
        <v>100</v>
      </c>
      <c r="M54" s="1" t="s">
        <v>101</v>
      </c>
      <c r="P54" s="1" t="s">
        <v>99</v>
      </c>
    </row>
    <row r="55" spans="9:24" ht="12.75">
      <c r="I55" s="2" t="s">
        <v>95</v>
      </c>
      <c r="K55" s="3" t="str">
        <f>IF(AA25=0,"No","Yes")</f>
        <v>Yes</v>
      </c>
      <c r="M55" s="6" t="str">
        <f>IF(Y25=0,"No","Yes")</f>
        <v>No</v>
      </c>
      <c r="P55" s="3" t="str">
        <f>AJ16&amp;AK16</f>
        <v>00</v>
      </c>
      <c r="Q55" s="4" t="s">
        <v>93</v>
      </c>
      <c r="R55" s="6" t="str">
        <f>CHOOSE(AJ16+1,"PIO","Single-word DMA","Multi-word DMA","[3]","Ultra DMA")&amp;",  mode/speed = "&amp;AK16</f>
        <v>PIO,  mode/speed = 0</v>
      </c>
      <c r="S55" s="3"/>
      <c r="V55" s="3"/>
      <c r="X55" s="3"/>
    </row>
    <row r="56" spans="9:18" ht="12.75">
      <c r="I56" s="2" t="s">
        <v>96</v>
      </c>
      <c r="K56" s="3" t="str">
        <f>IF(AA26=0,"No","Yes")</f>
        <v>Yes</v>
      </c>
      <c r="M56" s="6" t="str">
        <f>IF(Y26=0,"No","Yes")</f>
        <v>No</v>
      </c>
      <c r="P56" s="3" t="str">
        <f>AH16&amp;AI16</f>
        <v>00</v>
      </c>
      <c r="Q56" s="4" t="s">
        <v>93</v>
      </c>
      <c r="R56" s="6" t="str">
        <f>CHOOSE(AH16+1,"PIO","Single-word DMA","Multi-word DMA","[3]","Ultra DMA")&amp;",  mode/speed = "&amp;AI16</f>
        <v>PIO,  mode/speed = 0</v>
      </c>
    </row>
    <row r="57" spans="9:18" ht="12.75">
      <c r="I57" s="2" t="s">
        <v>97</v>
      </c>
      <c r="K57" s="3" t="str">
        <f>IF(AA27=0,"No","Yes")</f>
        <v>No</v>
      </c>
      <c r="M57" s="6" t="str">
        <f>IF(Y27=0,"No","Yes")</f>
        <v>No</v>
      </c>
      <c r="P57" s="3" t="str">
        <f>AF16&amp;AG16</f>
        <v>00</v>
      </c>
      <c r="Q57" s="4" t="s">
        <v>93</v>
      </c>
      <c r="R57" s="6" t="str">
        <f>CHOOSE(AF16+1,"PIO","Single-word DMA","Multi-word DMA","[3]","Ultra DMA")&amp;",  mode/speed = "&amp;AG16</f>
        <v>PIO,  mode/speed = 0</v>
      </c>
    </row>
    <row r="58" spans="9:18" ht="12.75">
      <c r="I58" s="2" t="s">
        <v>98</v>
      </c>
      <c r="K58" s="3" t="str">
        <f>IF(AA28=0,"No","Yes")</f>
        <v>No</v>
      </c>
      <c r="M58" s="6" t="str">
        <f>IF(Y28=0,"No","Yes")</f>
        <v>No</v>
      </c>
      <c r="P58" s="3" t="str">
        <f>AD16&amp;AE16</f>
        <v>00</v>
      </c>
      <c r="Q58" s="4" t="s">
        <v>93</v>
      </c>
      <c r="R58" s="6" t="str">
        <f>CHOOSE(AD16+1,"PIO","Single-word DMA","Multi-word DMA","[3]","Ultra DMA")&amp;",  mode/speed = "&amp;AE16</f>
        <v>PIO,  mode/speed = 0</v>
      </c>
    </row>
    <row r="59" ht="12.75">
      <c r="X5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4"/>
  <sheetViews>
    <sheetView workbookViewId="0" topLeftCell="A1">
      <selection activeCell="A4" sqref="A4"/>
    </sheetView>
  </sheetViews>
  <sheetFormatPr defaultColWidth="9.00390625" defaultRowHeight="12.75"/>
  <sheetData>
    <row r="4" spans="1:6" ht="12.75">
      <c r="A4" s="1" t="s">
        <v>120</v>
      </c>
      <c r="B4" s="1" t="str">
        <f>C4&amp;D4&amp;E4&amp;F4&amp;G4&amp;H4&amp;I4&amp;J4&amp;K4&amp;L4&amp;M4&amp;N4&amp;O4&amp;P4&amp;Q4&amp;R4&amp;S4&amp;T4&amp;U4&amp;V4&amp;W4&amp;X4&amp;Y4&amp;Z4&amp;AA4&amp;AB4&amp;AC4&amp;AD4&amp;AE4&amp;AF4&amp;AG4&amp;AH4&amp;AI4&amp;AJ4&amp;AK4</f>
        <v>123…</v>
      </c>
      <c r="C4">
        <v>1</v>
      </c>
      <c r="D4">
        <v>2</v>
      </c>
      <c r="E4">
        <v>3</v>
      </c>
      <c r="F4" t="s">
        <v>121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maques</dc:creator>
  <cp:keywords/>
  <dc:description/>
  <cp:lastModifiedBy>maques</cp:lastModifiedBy>
  <dcterms:created xsi:type="dcterms:W3CDTF">2004-04-21T17:46:57Z</dcterms:created>
  <dcterms:modified xsi:type="dcterms:W3CDTF">2004-04-21T20:45:22Z</dcterms:modified>
  <cp:category/>
  <cp:version/>
  <cp:contentType/>
  <cp:contentStatus/>
</cp:coreProperties>
</file>